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водка" sheetId="1" state="visible" r:id="rId1"/>
    <sheet name="Нормы и цены" sheetId="2" state="visible" r:id="rId2"/>
    <sheet name="Обмеры" sheetId="3" state="visible" r:id="rId3"/>
    <sheet name="Отделка" sheetId="4" state="visible" r:id="rId4"/>
    <sheet name="Электрика" sheetId="5" state="visible" r:id="rId5"/>
    <sheet name="Сантехника" sheetId="6" state="visible" r:id="rId6"/>
    <sheet name="Отопление" sheetId="7" state="visible" r:id="rId7"/>
    <sheet name="Источники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-#,##0.00;&quot;-&quot;"/>
    <numFmt numFmtId="165" formatCode="#,##0;-#,##0;&quot;-&quot;"/>
    <numFmt numFmtId="166" formatCode="0.0%"/>
  </numFmts>
  <fonts count="9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i val="1"/>
    </font>
    <font>
      <name val="Arial"/>
      <b val="1"/>
    </font>
    <font>
      <name val="Arial"/>
      <color rgb="00008000"/>
    </font>
    <font>
      <name val="Arial"/>
      <b val="1"/>
      <sz val="14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FF59D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0" borderId="0" pivotButton="0" quotePrefix="0" xfId="0"/>
    <xf numFmtId="0" fontId="1" fillId="2" borderId="0" pivotButton="0" quotePrefix="0" xfId="0"/>
    <xf numFmtId="0" fontId="2" fillId="0" borderId="1" pivotButton="0" quotePrefix="0" xfId="0"/>
    <xf numFmtId="165" fontId="6" fillId="0" borderId="1" pivotButton="0" quotePrefix="0" xfId="0"/>
    <xf numFmtId="165" fontId="2" fillId="0" borderId="1" pivotButton="0" quotePrefix="0" xfId="0"/>
    <xf numFmtId="166" fontId="2" fillId="0" borderId="1" pivotButton="0" quotePrefix="0" xfId="0"/>
    <xf numFmtId="0" fontId="5" fillId="0" borderId="1" pivotButton="0" quotePrefix="0" xfId="0"/>
    <xf numFmtId="165" fontId="5" fillId="0" borderId="1" pivotButton="0" quotePrefix="0" xfId="0"/>
    <xf numFmtId="0" fontId="1" fillId="2" borderId="0" applyAlignment="1" pivotButton="0" quotePrefix="0" xfId="0">
      <alignment vertical="center" wrapText="1"/>
    </xf>
    <xf numFmtId="4" fontId="3" fillId="0" borderId="1" pivotButton="0" quotePrefix="0" xfId="0"/>
    <xf numFmtId="4" fontId="3" fillId="3" borderId="1" pivotButton="0" quotePrefix="0" xfId="0"/>
    <xf numFmtId="164" fontId="3" fillId="0" borderId="1" pivotButton="0" quotePrefix="0" xfId="0"/>
    <xf numFmtId="164" fontId="2" fillId="0" borderId="1" pivotButton="0" quotePrefix="0" xfId="0"/>
    <xf numFmtId="0" fontId="3" fillId="3" borderId="1" pivotButton="0" quotePrefix="0" xfId="0"/>
    <xf numFmtId="164" fontId="5" fillId="0" borderId="1" pivotButton="0" quotePrefix="0" xfId="0"/>
    <xf numFmtId="165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comments/comment1.xml><?xml version="1.0" encoding="utf-8"?>
<comments xmlns="http://schemas.openxmlformats.org/spreadsheetml/2006/main">
  <authors>
    <author>KRSU</author>
  </authors>
  <commentList>
    <comment ref="C1" authorId="0" shapeId="0">
      <text>
        <t>Источник: обмерный план по скану (plan.py), площадь по внутренним граням стен.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0" customWidth="1" min="5" max="5"/>
  </cols>
  <sheetData>
    <row r="1">
      <c r="A1" s="1" t="inlineStr">
        <is>
          <t>Ведомость материалов и работ — квартира по плану</t>
        </is>
      </c>
      <c r="B1" s="2" t="n"/>
      <c r="C1" s="2" t="n"/>
      <c r="D1" s="2" t="n"/>
      <c r="E1" s="2" t="n"/>
    </row>
    <row r="2">
      <c r="A2" s="3" t="inlineStr">
        <is>
          <t>Объёмы — из обмеров и проектов; цены — ввод на листах (жёлтые ячейки). Все суммы — формулы.</t>
        </is>
      </c>
      <c r="B2" s="2" t="n"/>
      <c r="C2" s="2" t="n"/>
      <c r="D2" s="2" t="n"/>
      <c r="E2" s="2" t="n"/>
    </row>
    <row r="3">
      <c r="A3" s="4" t="inlineStr">
        <is>
          <t>Раздел</t>
        </is>
      </c>
      <c r="B3" s="4" t="inlineStr">
        <is>
          <t>Материалы, сом</t>
        </is>
      </c>
      <c r="C3" s="4" t="inlineStr">
        <is>
          <t>Работы, сом</t>
        </is>
      </c>
      <c r="D3" s="4" t="inlineStr">
        <is>
          <t>Итого, сом</t>
        </is>
      </c>
      <c r="E3" s="4" t="inlineStr">
        <is>
          <t>Доля</t>
        </is>
      </c>
    </row>
    <row r="4">
      <c r="A4" s="5" t="inlineStr">
        <is>
          <t>Отделка</t>
        </is>
      </c>
      <c r="B4" s="6">
        <f>'Отделка'!H23</f>
        <v/>
      </c>
      <c r="C4" s="6">
        <f>'Отделка'!H24</f>
        <v/>
      </c>
      <c r="D4" s="7">
        <f>B4+C4</f>
        <v/>
      </c>
      <c r="E4" s="8">
        <f>IF($D$8=0,0,D4/$D$8)</f>
        <v/>
      </c>
    </row>
    <row r="5">
      <c r="A5" s="5" t="inlineStr">
        <is>
          <t>Электрика (проект с нуля)</t>
        </is>
      </c>
      <c r="B5" s="6">
        <f>'Электрика'!E25</f>
        <v/>
      </c>
      <c r="C5" s="6">
        <f>'Электрика'!E26</f>
        <v/>
      </c>
      <c r="D5" s="7">
        <f>B5+C5</f>
        <v/>
      </c>
      <c r="E5" s="8">
        <f>IF($D$8=0,0,D5/$D$8)</f>
        <v/>
      </c>
    </row>
    <row r="6">
      <c r="A6" s="5" t="inlineStr">
        <is>
          <t>Водопровод и канализация</t>
        </is>
      </c>
      <c r="B6" s="6">
        <f>'Сантехника'!E18</f>
        <v/>
      </c>
      <c r="C6" s="6">
        <f>'Сантехника'!E19</f>
        <v/>
      </c>
      <c r="D6" s="7">
        <f>B6+C6</f>
        <v/>
      </c>
      <c r="E6" s="8">
        <f>IF($D$8=0,0,D6/$D$8)</f>
        <v/>
      </c>
    </row>
    <row r="7">
      <c r="A7" s="5" t="inlineStr">
        <is>
          <t>Отопление (мероприятия)</t>
        </is>
      </c>
      <c r="B7" s="6">
        <f>'Отопление'!E9</f>
        <v/>
      </c>
      <c r="C7" s="6">
        <f>'Отопление'!E10</f>
        <v/>
      </c>
      <c r="D7" s="7">
        <f>B7+C7</f>
        <v/>
      </c>
      <c r="E7" s="8">
        <f>IF($D$8=0,0,D7/$D$8)</f>
        <v/>
      </c>
    </row>
    <row r="8">
      <c r="A8" s="9" t="inlineStr">
        <is>
          <t>ИТОГО</t>
        </is>
      </c>
      <c r="B8" s="10">
        <f>SUM(B4:B7)</f>
        <v/>
      </c>
      <c r="C8" s="10">
        <f>SUM(C4:C7)</f>
        <v/>
      </c>
      <c r="D8" s="10">
        <f>SUM(D4:D7)</f>
        <v/>
      </c>
      <c r="E8" s="2" t="n"/>
    </row>
    <row r="9">
      <c r="A9" s="5" t="inlineStr">
        <is>
          <t>На 1 м² площади квартиры</t>
        </is>
      </c>
      <c r="B9" s="2" t="n"/>
      <c r="C9" s="2" t="n"/>
      <c r="D9" s="7">
        <f>D8/'Обмеры'!C10</f>
        <v/>
      </c>
      <c r="E9" s="2" t="n"/>
    </row>
    <row r="10">
      <c r="A10" s="2" t="n"/>
      <c r="B10" s="2" t="n"/>
      <c r="C10" s="2" t="n"/>
      <c r="D10" s="2" t="n"/>
      <c r="E10" s="2" t="n"/>
    </row>
    <row r="11">
      <c r="A11" s="3" t="inlineStr">
        <is>
          <t>Цвета: синие — ввод; зелёные — ссылки на другие листы; чёрные — формулы; жёлтая заливка — цены, которые нужно сверить с поставщиками.</t>
        </is>
      </c>
      <c r="B11" s="2" t="n"/>
      <c r="C11" s="2" t="n"/>
      <c r="D11" s="2" t="n"/>
      <c r="E11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2" customWidth="1" min="2" max="2"/>
    <col width="12" customWidth="1" min="3" max="3"/>
    <col width="70" customWidth="1" min="4" max="4"/>
  </cols>
  <sheetData>
    <row r="1" ht="32" customHeight="1">
      <c r="A1" s="11" t="inlineStr">
        <is>
          <t>Параметр</t>
        </is>
      </c>
      <c r="B1" s="11" t="inlineStr">
        <is>
          <t>Значение</t>
        </is>
      </c>
      <c r="C1" s="11" t="inlineStr">
        <is>
          <t>Ед.</t>
        </is>
      </c>
      <c r="D1" s="11" t="inlineStr">
        <is>
          <t>Источник / статус</t>
        </is>
      </c>
    </row>
    <row r="2">
      <c r="A2" s="5" t="inlineStr">
        <is>
          <t>Стяжка: толщина</t>
        </is>
      </c>
      <c r="B2" s="12" t="n">
        <v>50</v>
      </c>
      <c r="C2" s="5" t="inlineStr">
        <is>
          <t>мм</t>
        </is>
      </c>
      <c r="D2" s="5" t="inlineStr">
        <is>
          <t>допущение (гофра с кабелем под стяжкой ≥50 мм — проект электрики)</t>
        </is>
      </c>
    </row>
    <row r="3">
      <c r="A3" s="5" t="inlineStr">
        <is>
          <t>Стяжка: расход ЦПС на 1 мм</t>
        </is>
      </c>
      <c r="B3" s="12" t="n">
        <v>1.8</v>
      </c>
      <c r="C3" s="5" t="inlineStr">
        <is>
          <t>кг/м²·мм</t>
        </is>
      </c>
      <c r="D3" s="5" t="inlineStr">
        <is>
          <t>практика (≈18 кг/м² на 10 мм)</t>
        </is>
      </c>
    </row>
    <row r="4">
      <c r="A4" s="5" t="inlineStr">
        <is>
          <t>Штукатурка гипсовая: слой</t>
        </is>
      </c>
      <c r="B4" s="12" t="n">
        <v>15</v>
      </c>
      <c r="C4" s="5" t="inlineStr">
        <is>
          <t>мм</t>
        </is>
      </c>
      <c r="D4" s="5" t="inlineStr">
        <is>
          <t>допущение (монолит/кладка, средний слой)</t>
        </is>
      </c>
    </row>
    <row r="5">
      <c r="A5" s="5" t="inlineStr">
        <is>
          <t>Штукатурка: расход на 1 мм</t>
        </is>
      </c>
      <c r="B5" s="12" t="n">
        <v>0.85</v>
      </c>
      <c r="C5" s="5" t="inlineStr">
        <is>
          <t>кг/м²·мм</t>
        </is>
      </c>
      <c r="D5" s="5" t="inlineStr">
        <is>
          <t>практика (гипсовые смеси 8,5 кг/м² на 10 мм)</t>
        </is>
      </c>
    </row>
    <row r="6">
      <c r="A6" s="5" t="inlineStr">
        <is>
          <t>Шпаклёвка финишная</t>
        </is>
      </c>
      <c r="B6" s="12" t="n">
        <v>1</v>
      </c>
      <c r="C6" s="5" t="inlineStr">
        <is>
          <t>кг/м²</t>
        </is>
      </c>
      <c r="D6" s="5" t="inlineStr">
        <is>
          <t>практика</t>
        </is>
      </c>
    </row>
    <row r="7">
      <c r="A7" s="5" t="inlineStr">
        <is>
          <t>Грунтовка (2 слоя)</t>
        </is>
      </c>
      <c r="B7" s="12" t="n">
        <v>0.3</v>
      </c>
      <c r="C7" s="5" t="inlineStr">
        <is>
          <t>л/м²</t>
        </is>
      </c>
      <c r="D7" s="5" t="inlineStr">
        <is>
          <t>практика (0,15 л/м² на слой)</t>
        </is>
      </c>
    </row>
    <row r="8">
      <c r="A8" s="5" t="inlineStr">
        <is>
          <t>Краска интерьерная (2 слоя)</t>
        </is>
      </c>
      <c r="B8" s="12" t="n">
        <v>0.3</v>
      </c>
      <c r="C8" s="5" t="inlineStr">
        <is>
          <t>л/м²</t>
        </is>
      </c>
      <c r="D8" s="5" t="inlineStr">
        <is>
          <t>практика (0,15 л/м² на слой)</t>
        </is>
      </c>
    </row>
    <row r="9">
      <c r="A9" s="5" t="inlineStr">
        <is>
          <t>Плиточный клей</t>
        </is>
      </c>
      <c r="B9" s="12" t="n">
        <v>5</v>
      </c>
      <c r="C9" s="5" t="inlineStr">
        <is>
          <t>кг/м²</t>
        </is>
      </c>
      <c r="D9" s="5" t="inlineStr">
        <is>
          <t>практика (гребёнка 8 мм)</t>
        </is>
      </c>
    </row>
    <row r="10">
      <c r="A10" s="5" t="inlineStr">
        <is>
          <t>Затирка</t>
        </is>
      </c>
      <c r="B10" s="12" t="n">
        <v>0.5</v>
      </c>
      <c r="C10" s="5" t="inlineStr">
        <is>
          <t>кг/м²</t>
        </is>
      </c>
      <c r="D10" s="5" t="inlineStr">
        <is>
          <t>практика</t>
        </is>
      </c>
    </row>
    <row r="11">
      <c r="A11" s="5" t="inlineStr">
        <is>
          <t>Гидроизоляция санузла (2 слоя)</t>
        </is>
      </c>
      <c r="B11" s="12" t="n">
        <v>3</v>
      </c>
      <c r="C11" s="5" t="inlineStr">
        <is>
          <t>кг/м²</t>
        </is>
      </c>
      <c r="D11" s="5" t="inlineStr">
        <is>
          <t>практика; пол + 0,2 м на стены (СП: мокрые зоны)</t>
        </is>
      </c>
    </row>
    <row r="12">
      <c r="A12" s="5" t="inlineStr">
        <is>
          <t>Запас плитки и ламината</t>
        </is>
      </c>
      <c r="B12" s="12" t="n">
        <v>1.1</v>
      </c>
      <c r="C12" s="5" t="inlineStr">
        <is>
          <t>коэф.</t>
        </is>
      </c>
      <c r="D12" s="5" t="inlineStr">
        <is>
          <t>практика (подрезка, бой)</t>
        </is>
      </c>
    </row>
    <row r="13">
      <c r="A13" s="5" t="inlineStr">
        <is>
          <t>Кухонный фартук: высота</t>
        </is>
      </c>
      <c r="B13" s="12" t="n">
        <v>0.6</v>
      </c>
      <c r="C13" s="5" t="inlineStr">
        <is>
          <t>м</t>
        </is>
      </c>
      <c r="D13" s="5" t="inlineStr">
        <is>
          <t>практика</t>
        </is>
      </c>
    </row>
    <row r="14">
      <c r="A14" s="5" t="inlineStr">
        <is>
          <t>Цена: ЦПС, мешок 40 кг</t>
        </is>
      </c>
      <c r="B14" s="13" t="n">
        <v>250</v>
      </c>
      <c r="C14" s="5" t="inlineStr">
        <is>
          <t>сом</t>
        </is>
      </c>
      <c r="D14" s="5" t="inlineStr">
        <is>
          <t>оценка — уточнить в магазине</t>
        </is>
      </c>
    </row>
    <row r="15">
      <c r="A15" s="5" t="inlineStr">
        <is>
          <t>Цена: штукатурка гипсовая, 30 кг</t>
        </is>
      </c>
      <c r="B15" s="13" t="n">
        <v>450</v>
      </c>
      <c r="C15" s="5" t="inlineStr">
        <is>
          <t>сом</t>
        </is>
      </c>
      <c r="D15" s="5" t="inlineStr">
        <is>
          <t>оценка</t>
        </is>
      </c>
    </row>
    <row r="16">
      <c r="A16" s="5" t="inlineStr">
        <is>
          <t>Цена: шпаклёвка финишная, 20 кг</t>
        </is>
      </c>
      <c r="B16" s="13" t="n">
        <v>550</v>
      </c>
      <c r="C16" s="5" t="inlineStr">
        <is>
          <t>сом</t>
        </is>
      </c>
      <c r="D16" s="5" t="inlineStr">
        <is>
          <t>оценка</t>
        </is>
      </c>
    </row>
    <row r="17">
      <c r="A17" s="5" t="inlineStr">
        <is>
          <t>Цена: грунтовка, 10 л</t>
        </is>
      </c>
      <c r="B17" s="13" t="n">
        <v>900</v>
      </c>
      <c r="C17" s="5" t="inlineStr">
        <is>
          <t>сом</t>
        </is>
      </c>
      <c r="D17" s="5" t="inlineStr">
        <is>
          <t>оценка</t>
        </is>
      </c>
    </row>
    <row r="18">
      <c r="A18" s="5" t="inlineStr">
        <is>
          <t>Цена: краска интерьерная, 10 л</t>
        </is>
      </c>
      <c r="B18" s="13" t="n">
        <v>2800</v>
      </c>
      <c r="C18" s="5" t="inlineStr">
        <is>
          <t>сом</t>
        </is>
      </c>
      <c r="D18" s="5" t="inlineStr">
        <is>
          <t>оценка</t>
        </is>
      </c>
    </row>
    <row r="19">
      <c r="A19" s="5" t="inlineStr">
        <is>
          <t>Цена: плитка</t>
        </is>
      </c>
      <c r="B19" s="13" t="n">
        <v>900</v>
      </c>
      <c r="C19" s="5" t="inlineStr">
        <is>
          <t>сом/м²</t>
        </is>
      </c>
      <c r="D19" s="5" t="inlineStr">
        <is>
          <t>оценка (средний сегмент)</t>
        </is>
      </c>
    </row>
    <row r="20">
      <c r="A20" s="5" t="inlineStr">
        <is>
          <t>Цена: клей плиточный, 25 кг</t>
        </is>
      </c>
      <c r="B20" s="13" t="n">
        <v>450</v>
      </c>
      <c r="C20" s="5" t="inlineStr">
        <is>
          <t>сом</t>
        </is>
      </c>
      <c r="D20" s="5" t="inlineStr">
        <is>
          <t>оценка</t>
        </is>
      </c>
    </row>
    <row r="21">
      <c r="A21" s="5" t="inlineStr">
        <is>
          <t>Цена: затирка, 2 кг</t>
        </is>
      </c>
      <c r="B21" s="13" t="n">
        <v>350</v>
      </c>
      <c r="C21" s="5" t="inlineStr">
        <is>
          <t>сом</t>
        </is>
      </c>
      <c r="D21" s="5" t="inlineStr">
        <is>
          <t>оценка</t>
        </is>
      </c>
    </row>
    <row r="22">
      <c r="A22" s="5" t="inlineStr">
        <is>
          <t>Цена: гидроизоляция, 15 кг</t>
        </is>
      </c>
      <c r="B22" s="13" t="n">
        <v>2500</v>
      </c>
      <c r="C22" s="5" t="inlineStr">
        <is>
          <t>сом</t>
        </is>
      </c>
      <c r="D22" s="5" t="inlineStr">
        <is>
          <t>оценка</t>
        </is>
      </c>
    </row>
    <row r="23">
      <c r="A23" s="5" t="inlineStr">
        <is>
          <t>Цена: ламинат 33 класс</t>
        </is>
      </c>
      <c r="B23" s="13" t="n">
        <v>850</v>
      </c>
      <c r="C23" s="5" t="inlineStr">
        <is>
          <t>сом/м²</t>
        </is>
      </c>
      <c r="D23" s="5" t="inlineStr">
        <is>
          <t>оценка</t>
        </is>
      </c>
    </row>
    <row r="24">
      <c r="A24" s="5" t="inlineStr">
        <is>
          <t>Цена: подложка</t>
        </is>
      </c>
      <c r="B24" s="13" t="n">
        <v>60</v>
      </c>
      <c r="C24" s="5" t="inlineStr">
        <is>
          <t>сом/м²</t>
        </is>
      </c>
      <c r="D24" s="5" t="inlineStr">
        <is>
          <t>оценка</t>
        </is>
      </c>
    </row>
    <row r="25">
      <c r="A25" s="5" t="inlineStr">
        <is>
          <t>Цена: плинтус с фурнитурой</t>
        </is>
      </c>
      <c r="B25" s="13" t="n">
        <v>250</v>
      </c>
      <c r="C25" s="5" t="inlineStr">
        <is>
          <t>сом/м</t>
        </is>
      </c>
      <c r="D25" s="5" t="inlineStr">
        <is>
          <t>оценка</t>
        </is>
      </c>
    </row>
    <row r="26">
      <c r="A26" s="5" t="inlineStr">
        <is>
          <t>Цена: натяжной потолок под ключ</t>
        </is>
      </c>
      <c r="B26" s="13" t="n">
        <v>650</v>
      </c>
      <c r="C26" s="5" t="inlineStr">
        <is>
          <t>сом/м²</t>
        </is>
      </c>
      <c r="D26" s="5" t="inlineStr">
        <is>
          <t>оценка (с монтажом)</t>
        </is>
      </c>
    </row>
    <row r="27">
      <c r="A27" s="5" t="inlineStr">
        <is>
          <t>Работа: стяжка</t>
        </is>
      </c>
      <c r="B27" s="13" t="n">
        <v>350</v>
      </c>
      <c r="C27" s="5" t="inlineStr">
        <is>
          <t>сом/м²</t>
        </is>
      </c>
      <c r="D27" s="5" t="inlineStr">
        <is>
          <t>оценка</t>
        </is>
      </c>
    </row>
    <row r="28">
      <c r="A28" s="5" t="inlineStr">
        <is>
          <t>Работа: штукатурка стен</t>
        </is>
      </c>
      <c r="B28" s="13" t="n">
        <v>450</v>
      </c>
      <c r="C28" s="5" t="inlineStr">
        <is>
          <t>сом/м²</t>
        </is>
      </c>
      <c r="D28" s="5" t="inlineStr">
        <is>
          <t>оценка</t>
        </is>
      </c>
    </row>
    <row r="29">
      <c r="A29" s="5" t="inlineStr">
        <is>
          <t>Работа: шпаклёвка + покраска</t>
        </is>
      </c>
      <c r="B29" s="13" t="n">
        <v>400</v>
      </c>
      <c r="C29" s="5" t="inlineStr">
        <is>
          <t>сом/м²</t>
        </is>
      </c>
      <c r="D29" s="5" t="inlineStr">
        <is>
          <t>оценка</t>
        </is>
      </c>
    </row>
    <row r="30">
      <c r="A30" s="5" t="inlineStr">
        <is>
          <t>Работа: плитка (стены и пол)</t>
        </is>
      </c>
      <c r="B30" s="13" t="n">
        <v>900</v>
      </c>
      <c r="C30" s="5" t="inlineStr">
        <is>
          <t>сом/м²</t>
        </is>
      </c>
      <c r="D30" s="5" t="inlineStr">
        <is>
          <t>оценка</t>
        </is>
      </c>
    </row>
    <row r="31">
      <c r="A31" s="5" t="inlineStr">
        <is>
          <t>Работа: гидроизоляция</t>
        </is>
      </c>
      <c r="B31" s="13" t="n">
        <v>200</v>
      </c>
      <c r="C31" s="5" t="inlineStr">
        <is>
          <t>сом/м²</t>
        </is>
      </c>
      <c r="D31" s="5" t="inlineStr">
        <is>
          <t>оценка</t>
        </is>
      </c>
    </row>
    <row r="32">
      <c r="A32" s="5" t="inlineStr">
        <is>
          <t>Работа: ламинат + плинтус</t>
        </is>
      </c>
      <c r="B32" s="13" t="n">
        <v>300</v>
      </c>
      <c r="C32" s="5" t="inlineStr">
        <is>
          <t>сом/м²</t>
        </is>
      </c>
      <c r="D32" s="5" t="inlineStr">
        <is>
          <t>оценка</t>
        </is>
      </c>
    </row>
    <row r="33">
      <c r="A33" s="2" t="n"/>
      <c r="B33" s="2" t="n"/>
      <c r="C33" s="2" t="n"/>
      <c r="D33" s="2" t="n"/>
    </row>
    <row r="34">
      <c r="A34" s="3" t="inlineStr">
        <is>
          <t>Синие значения — ввод. Жёлтые — цены, их нужно сверить с поставщиками Бишкека: открытых прайсов на отделку нет, указаны оценки.</t>
        </is>
      </c>
      <c r="B34" s="2" t="n"/>
      <c r="C34" s="2" t="n"/>
      <c r="D34" s="2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10" customWidth="1" min="3" max="3"/>
    <col width="11" customWidth="1" min="4" max="4"/>
    <col width="10" customWidth="1" min="5" max="5"/>
    <col width="14" customWidth="1" min="6" max="6"/>
    <col width="12" customWidth="1" min="7" max="7"/>
    <col width="10" customWidth="1" min="8" max="8"/>
    <col width="12" customWidth="1" min="9" max="9"/>
    <col width="13" customWidth="1" min="10" max="10"/>
    <col width="13" customWidth="1" min="11" max="11"/>
  </cols>
  <sheetData>
    <row r="1" ht="32" customHeight="1">
      <c r="A1" s="11" t="inlineStr">
        <is>
          <t>№</t>
        </is>
      </c>
      <c r="B1" s="11" t="inlineStr">
        <is>
          <t>Помещение</t>
        </is>
      </c>
      <c r="C1" s="11" t="inlineStr">
        <is>
          <t>Пол, м²</t>
        </is>
      </c>
      <c r="D1" s="11" t="inlineStr">
        <is>
          <t>Периметр, м</t>
        </is>
      </c>
      <c r="E1" s="11" t="inlineStr">
        <is>
          <t>Высота, м</t>
        </is>
      </c>
      <c r="F1" s="11" t="inlineStr">
        <is>
          <t>Проёмы (ширина дверей), м</t>
        </is>
      </c>
      <c r="G1" s="11" t="inlineStr">
        <is>
          <t>Стены брутто, м²</t>
        </is>
      </c>
      <c r="H1" s="11" t="inlineStr">
        <is>
          <t>Проёмы, м²</t>
        </is>
      </c>
      <c r="I1" s="11" t="inlineStr">
        <is>
          <t>Стены нетто, м²</t>
        </is>
      </c>
      <c r="J1" s="11" t="inlineStr">
        <is>
          <t>Пол: отделка</t>
        </is>
      </c>
      <c r="K1" s="11" t="inlineStr">
        <is>
          <t>Стены: отделка</t>
        </is>
      </c>
    </row>
    <row r="2">
      <c r="A2" s="5" t="n">
        <v>1</v>
      </c>
      <c r="B2" s="5" t="inlineStr">
        <is>
          <t>Кладовая</t>
        </is>
      </c>
      <c r="C2" s="14" t="n">
        <v>1.27</v>
      </c>
      <c r="D2" s="14" t="n">
        <v>4.56</v>
      </c>
      <c r="E2" s="14" t="n">
        <v>2.7</v>
      </c>
      <c r="F2" s="14" t="n">
        <v>0.61</v>
      </c>
      <c r="G2" s="15">
        <f>D2*E2</f>
        <v/>
      </c>
      <c r="H2" s="14" t="n">
        <v>1.28</v>
      </c>
      <c r="I2" s="15">
        <f>G2-H2</f>
        <v/>
      </c>
      <c r="J2" s="16" t="inlineStr">
        <is>
          <t>ламинат</t>
        </is>
      </c>
      <c r="K2" s="16" t="inlineStr">
        <is>
          <t>покраска</t>
        </is>
      </c>
    </row>
    <row r="3">
      <c r="A3" s="5" t="n">
        <v>2</v>
      </c>
      <c r="B3" s="5" t="inlineStr">
        <is>
          <t>Лоджия</t>
        </is>
      </c>
      <c r="C3" s="14" t="n">
        <v>3.64</v>
      </c>
      <c r="D3" s="14" t="n">
        <v>8.76</v>
      </c>
      <c r="E3" s="14" t="n">
        <v>2.7</v>
      </c>
      <c r="F3" s="14" t="n">
        <v>3.39</v>
      </c>
      <c r="G3" s="15">
        <f>D3*E3</f>
        <v/>
      </c>
      <c r="H3" s="14" t="n">
        <v>5.15</v>
      </c>
      <c r="I3" s="15">
        <f>G3-H3</f>
        <v/>
      </c>
      <c r="J3" s="16" t="inlineStr">
        <is>
          <t>плитка</t>
        </is>
      </c>
      <c r="K3" s="16" t="inlineStr">
        <is>
          <t>покраска</t>
        </is>
      </c>
    </row>
    <row r="4">
      <c r="A4" s="5" t="n">
        <v>3</v>
      </c>
      <c r="B4" s="5" t="inlineStr">
        <is>
          <t>Кухня</t>
        </is>
      </c>
      <c r="C4" s="14" t="n">
        <v>18.95</v>
      </c>
      <c r="D4" s="14" t="n">
        <v>21.22</v>
      </c>
      <c r="E4" s="14" t="n">
        <v>2.7</v>
      </c>
      <c r="F4" s="14" t="n">
        <v>2.47</v>
      </c>
      <c r="G4" s="15">
        <f>D4*E4</f>
        <v/>
      </c>
      <c r="H4" s="14" t="n">
        <v>4.21</v>
      </c>
      <c r="I4" s="15">
        <f>G4-H4</f>
        <v/>
      </c>
      <c r="J4" s="16" t="inlineStr">
        <is>
          <t>плитка</t>
        </is>
      </c>
      <c r="K4" s="16" t="inlineStr">
        <is>
          <t>покраска</t>
        </is>
      </c>
    </row>
    <row r="5">
      <c r="A5" s="5" t="n">
        <v>4</v>
      </c>
      <c r="B5" s="5" t="inlineStr">
        <is>
          <t>Комната</t>
        </is>
      </c>
      <c r="C5" s="14" t="n">
        <v>23.91</v>
      </c>
      <c r="D5" s="14" t="n">
        <v>20.52</v>
      </c>
      <c r="E5" s="14" t="n">
        <v>2.7</v>
      </c>
      <c r="F5" s="14" t="n">
        <v>3.03</v>
      </c>
      <c r="G5" s="15">
        <f>D5*E5</f>
        <v/>
      </c>
      <c r="H5" s="14" t="n">
        <v>5.23</v>
      </c>
      <c r="I5" s="15">
        <f>G5-H5</f>
        <v/>
      </c>
      <c r="J5" s="16" t="inlineStr">
        <is>
          <t>ламинат</t>
        </is>
      </c>
      <c r="K5" s="16" t="inlineStr">
        <is>
          <t>покраска</t>
        </is>
      </c>
    </row>
    <row r="6">
      <c r="A6" s="5" t="n">
        <v>5</v>
      </c>
      <c r="B6" s="5" t="inlineStr">
        <is>
          <t>Прихожая</t>
        </is>
      </c>
      <c r="C6" s="14" t="n">
        <v>18.44</v>
      </c>
      <c r="D6" s="14" t="n">
        <v>27.3</v>
      </c>
      <c r="E6" s="14" t="n">
        <v>2.7</v>
      </c>
      <c r="F6" s="14" t="n">
        <v>5.79</v>
      </c>
      <c r="G6" s="15">
        <f>D6*E6</f>
        <v/>
      </c>
      <c r="H6" s="14" t="n">
        <v>12.29</v>
      </c>
      <c r="I6" s="15">
        <f>G6-H6</f>
        <v/>
      </c>
      <c r="J6" s="16" t="inlineStr">
        <is>
          <t>ламинат</t>
        </is>
      </c>
      <c r="K6" s="16" t="inlineStr">
        <is>
          <t>покраска</t>
        </is>
      </c>
    </row>
    <row r="7">
      <c r="A7" s="5" t="n">
        <v>6</v>
      </c>
      <c r="B7" s="5" t="inlineStr">
        <is>
          <t>Комната</t>
        </is>
      </c>
      <c r="C7" s="14" t="n">
        <v>13.05</v>
      </c>
      <c r="D7" s="14" t="n">
        <v>14.52</v>
      </c>
      <c r="E7" s="14" t="n">
        <v>2.7</v>
      </c>
      <c r="F7" s="14" t="n">
        <v>2.98</v>
      </c>
      <c r="G7" s="15">
        <f>D7*E7</f>
        <v/>
      </c>
      <c r="H7" s="14" t="n">
        <v>5.13</v>
      </c>
      <c r="I7" s="15">
        <f>G7-H7</f>
        <v/>
      </c>
      <c r="J7" s="16" t="inlineStr">
        <is>
          <t>ламинат</t>
        </is>
      </c>
      <c r="K7" s="16" t="inlineStr">
        <is>
          <t>покраска</t>
        </is>
      </c>
    </row>
    <row r="8">
      <c r="A8" s="5" t="n">
        <v>7</v>
      </c>
      <c r="B8" s="5" t="inlineStr">
        <is>
          <t>Туалет</t>
        </is>
      </c>
      <c r="C8" s="14" t="n">
        <v>2.09</v>
      </c>
      <c r="D8" s="14" t="n">
        <v>6.02</v>
      </c>
      <c r="E8" s="14" t="n">
        <v>2.7</v>
      </c>
      <c r="F8" s="14" t="n">
        <v>0.64</v>
      </c>
      <c r="G8" s="15">
        <f>D8*E8</f>
        <v/>
      </c>
      <c r="H8" s="14" t="n">
        <v>1.36</v>
      </c>
      <c r="I8" s="15">
        <f>G8-H8</f>
        <v/>
      </c>
      <c r="J8" s="16" t="inlineStr">
        <is>
          <t>плитка</t>
        </is>
      </c>
      <c r="K8" s="16" t="inlineStr">
        <is>
          <t>плитка</t>
        </is>
      </c>
    </row>
    <row r="9">
      <c r="A9" s="5" t="n">
        <v>8</v>
      </c>
      <c r="B9" s="5" t="inlineStr">
        <is>
          <t>Ванная</t>
        </is>
      </c>
      <c r="C9" s="14" t="n">
        <v>3.03</v>
      </c>
      <c r="D9" s="14" t="n">
        <v>6.96</v>
      </c>
      <c r="E9" s="14" t="n">
        <v>2.7</v>
      </c>
      <c r="F9" s="14" t="n">
        <v>0.67</v>
      </c>
      <c r="G9" s="15">
        <f>D9*E9</f>
        <v/>
      </c>
      <c r="H9" s="14" t="n">
        <v>1.42</v>
      </c>
      <c r="I9" s="15">
        <f>G9-H9</f>
        <v/>
      </c>
      <c r="J9" s="16" t="inlineStr">
        <is>
          <t>плитка</t>
        </is>
      </c>
      <c r="K9" s="16" t="inlineStr">
        <is>
          <t>плитка</t>
        </is>
      </c>
    </row>
    <row r="10">
      <c r="A10" s="2" t="n"/>
      <c r="B10" s="9" t="inlineStr">
        <is>
          <t>Итого</t>
        </is>
      </c>
      <c r="C10" s="17">
        <f>SUM(C2:C9)</f>
        <v/>
      </c>
      <c r="D10" s="17">
        <f>SUM(D2:D9)</f>
        <v/>
      </c>
      <c r="E10" s="2" t="n"/>
      <c r="F10" s="2" t="n"/>
      <c r="G10" s="17">
        <f>SUM(G2:G9)</f>
        <v/>
      </c>
      <c r="H10" s="17">
        <f>SUM(H2:H9)</f>
        <v/>
      </c>
      <c r="I10" s="17">
        <f>SUM(I2:I9)</f>
        <v/>
      </c>
      <c r="J10" s="2" t="n"/>
      <c r="K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</row>
    <row r="12">
      <c r="A12" s="3" t="inlineStr">
        <is>
          <t>Площади, периметры и высоты — автоматический обмер по плану квартиры (rooms.json). Тип отделки (жёлтые) можно менять: «плитка», «ламинат», «покраска».</t>
        </is>
      </c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2" customWidth="1" min="3" max="3"/>
    <col width="8" customWidth="1" min="4" max="4"/>
    <col width="14" customWidth="1" min="5" max="5"/>
    <col width="12" customWidth="1" min="6" max="6"/>
    <col width="12" customWidth="1" min="7" max="7"/>
    <col width="14" customWidth="1" min="8" max="8"/>
    <col width="60" customWidth="1" min="9" max="9"/>
  </cols>
  <sheetData>
    <row r="1" ht="32" customHeight="1">
      <c r="A1" s="11" t="inlineStr">
        <is>
          <t>Раздел</t>
        </is>
      </c>
      <c r="B1" s="11" t="inlineStr">
        <is>
          <t>Позиция</t>
        </is>
      </c>
      <c r="C1" s="11" t="inlineStr">
        <is>
          <t>Объём</t>
        </is>
      </c>
      <c r="D1" s="11" t="inlineStr">
        <is>
          <t>Ед.</t>
        </is>
      </c>
      <c r="E1" s="11" t="inlineStr">
        <is>
          <t>Количество к покупке</t>
        </is>
      </c>
      <c r="F1" s="11" t="inlineStr">
        <is>
          <t>Ед. покупки</t>
        </is>
      </c>
      <c r="G1" s="11" t="inlineStr">
        <is>
          <t>Цена, сом</t>
        </is>
      </c>
      <c r="H1" s="11" t="inlineStr">
        <is>
          <t>Сумма, сом</t>
        </is>
      </c>
      <c r="I1" s="11" t="inlineStr">
        <is>
          <t>Как посчитано</t>
        </is>
      </c>
    </row>
    <row r="2">
      <c r="A2" s="5" t="inlineStr">
        <is>
          <t>Материалы</t>
        </is>
      </c>
      <c r="B2" s="5" t="inlineStr">
        <is>
          <t>Стяжка пола (ЦПС)</t>
        </is>
      </c>
      <c r="C2" s="15">
        <f>SUM('Обмеры'!$C$2:$C$9)</f>
        <v/>
      </c>
      <c r="D2" s="5" t="inlineStr">
        <is>
          <t>м²</t>
        </is>
      </c>
      <c r="E2" s="15">
        <f>ROUNDUP(C2*'Нормы и цены'!$B$2*'Нормы и цены'!$B$3/40,0)</f>
        <v/>
      </c>
      <c r="F2" s="5" t="inlineStr">
        <is>
          <t>мешок 40 кг</t>
        </is>
      </c>
      <c r="G2" s="6">
        <f>'Нормы и цены'!$B$14</f>
        <v/>
      </c>
      <c r="H2" s="7">
        <f>E2*G2</f>
        <v/>
      </c>
      <c r="I2" s="5" t="inlineStr">
        <is>
          <t>площадь всех полов × толщина × расход</t>
        </is>
      </c>
    </row>
    <row r="3">
      <c r="A3" s="5" t="inlineStr">
        <is>
          <t>Материалы</t>
        </is>
      </c>
      <c r="B3" s="5" t="inlineStr">
        <is>
          <t>Штукатурка гипсовая стен</t>
        </is>
      </c>
      <c r="C3" s="15">
        <f>SUMIFS('Обмеры'!$I$2:$I$9,'Обмеры'!$K$2:$K$9,"покраска")+SUMIFS('Обмеры'!$I$2:$I$9,'Обмеры'!$K$2:$K$9,"плитка")</f>
        <v/>
      </c>
      <c r="D3" s="5" t="inlineStr">
        <is>
          <t>м²</t>
        </is>
      </c>
      <c r="E3" s="15">
        <f>ROUNDUP(C3*'Нормы и цены'!$B$4*'Нормы и цены'!$B$5/30,0)</f>
        <v/>
      </c>
      <c r="F3" s="5" t="inlineStr">
        <is>
          <t>мешок 30 кг</t>
        </is>
      </c>
      <c r="G3" s="6">
        <f>'Нормы и цены'!$B$15</f>
        <v/>
      </c>
      <c r="H3" s="7">
        <f>E3*G3</f>
        <v/>
      </c>
      <c r="I3" s="5" t="inlineStr">
        <is>
          <t>стены нетто всех помещений</t>
        </is>
      </c>
    </row>
    <row r="4">
      <c r="A4" s="5" t="inlineStr">
        <is>
          <t>Материалы</t>
        </is>
      </c>
      <c r="B4" s="5" t="inlineStr">
        <is>
          <t>Грунтовка</t>
        </is>
      </c>
      <c r="C4" s="15">
        <f>SUMIFS('Обмеры'!$I$2:$I$9,'Обмеры'!$K$2:$K$9,"покраска")+SUMIFS('Обмеры'!$I$2:$I$9,'Обмеры'!$K$2:$K$9,"плитка")</f>
        <v/>
      </c>
      <c r="D4" s="5" t="inlineStr">
        <is>
          <t>м²</t>
        </is>
      </c>
      <c r="E4" s="15">
        <f>ROUNDUP(C4*'Нормы и цены'!$B$7/10,0)</f>
        <v/>
      </c>
      <c r="F4" s="5" t="inlineStr">
        <is>
          <t>канистра 10 л</t>
        </is>
      </c>
      <c r="G4" s="6">
        <f>'Нормы и цены'!$B$17</f>
        <v/>
      </c>
      <c r="H4" s="7">
        <f>E4*G4</f>
        <v/>
      </c>
      <c r="I4" s="5" t="inlineStr">
        <is>
          <t>стены нетто, 2 слоя</t>
        </is>
      </c>
    </row>
    <row r="5">
      <c r="A5" s="5" t="inlineStr">
        <is>
          <t>Материалы</t>
        </is>
      </c>
      <c r="B5" s="5" t="inlineStr">
        <is>
          <t>Шпаклёвка финишная</t>
        </is>
      </c>
      <c r="C5" s="15">
        <f>SUMIFS('Обмеры'!$I$2:$I$9,'Обмеры'!$K$2:$K$9,"покраска")</f>
        <v/>
      </c>
      <c r="D5" s="5" t="inlineStr">
        <is>
          <t>м²</t>
        </is>
      </c>
      <c r="E5" s="15">
        <f>ROUNDUP(C5*'Нормы и цены'!$B$6/20,0)</f>
        <v/>
      </c>
      <c r="F5" s="5" t="inlineStr">
        <is>
          <t>мешок 20 кг</t>
        </is>
      </c>
      <c r="G5" s="6">
        <f>'Нормы и цены'!$B$16</f>
        <v/>
      </c>
      <c r="H5" s="7">
        <f>E5*G5</f>
        <v/>
      </c>
      <c r="I5" s="5" t="inlineStr">
        <is>
          <t>стены под покраску</t>
        </is>
      </c>
    </row>
    <row r="6">
      <c r="A6" s="5" t="inlineStr">
        <is>
          <t>Материалы</t>
        </is>
      </c>
      <c r="B6" s="5" t="inlineStr">
        <is>
          <t>Краска интерьерная</t>
        </is>
      </c>
      <c r="C6" s="15">
        <f>SUMIFS('Обмеры'!$I$2:$I$9,'Обмеры'!$K$2:$K$9,"покраска")</f>
        <v/>
      </c>
      <c r="D6" s="5" t="inlineStr">
        <is>
          <t>м²</t>
        </is>
      </c>
      <c r="E6" s="15">
        <f>ROUNDUP(C6*'Нормы и цены'!$B$8/10,0)</f>
        <v/>
      </c>
      <c r="F6" s="5" t="inlineStr">
        <is>
          <t>ведро 10 л</t>
        </is>
      </c>
      <c r="G6" s="6">
        <f>'Нормы и цены'!$B$18</f>
        <v/>
      </c>
      <c r="H6" s="7">
        <f>E6*G6</f>
        <v/>
      </c>
      <c r="I6" s="5" t="inlineStr">
        <is>
          <t>стены под покраску, 2 слоя (потолки — натяжные)</t>
        </is>
      </c>
    </row>
    <row r="7">
      <c r="A7" s="5" t="inlineStr">
        <is>
          <t>Материалы</t>
        </is>
      </c>
      <c r="B7" s="5" t="inlineStr">
        <is>
          <t>Плитка стен (санузел)</t>
        </is>
      </c>
      <c r="C7" s="15">
        <f>SUMIFS('Обмеры'!$I$2:$I$9,'Обмеры'!$K$2:$K$9,"плитка")</f>
        <v/>
      </c>
      <c r="D7" s="5" t="inlineStr">
        <is>
          <t>м²</t>
        </is>
      </c>
      <c r="E7" s="15">
        <f>ROUND(C7*'Нормы и цены'!$B$12,1)</f>
        <v/>
      </c>
      <c r="F7" s="5" t="inlineStr">
        <is>
          <t>м²</t>
        </is>
      </c>
      <c r="G7" s="6">
        <f>'Нормы и цены'!$B$19</f>
        <v/>
      </c>
      <c r="H7" s="7">
        <f>E7*G7</f>
        <v/>
      </c>
      <c r="I7" s="5" t="inlineStr">
        <is>
          <t>стены с отделкой «плитка» + 10 %</t>
        </is>
      </c>
    </row>
    <row r="8">
      <c r="A8" s="5" t="inlineStr">
        <is>
          <t>Материалы</t>
        </is>
      </c>
      <c r="B8" s="5" t="inlineStr">
        <is>
          <t>Плитка кухонного фартука</t>
        </is>
      </c>
      <c r="C8" s="15">
        <f>2.04*'Нормы и цены'!$B$13</f>
        <v/>
      </c>
      <c r="D8" s="5" t="inlineStr">
        <is>
          <t>м²</t>
        </is>
      </c>
      <c r="E8" s="15">
        <f>ROUND(C8*'Нормы и цены'!$B$12,1)</f>
        <v/>
      </c>
      <c r="F8" s="5" t="inlineStr">
        <is>
          <t>м²</t>
        </is>
      </c>
      <c r="G8" s="6">
        <f>'Нормы и цены'!$B$19</f>
        <v/>
      </c>
      <c r="H8" s="7">
        <f>E8*G8</f>
        <v/>
      </c>
      <c r="I8" s="5" t="inlineStr">
        <is>
          <t>длина столешницы 2.04 м (layout.json) × высота фартука</t>
        </is>
      </c>
    </row>
    <row r="9">
      <c r="A9" s="5" t="inlineStr">
        <is>
          <t>Материалы</t>
        </is>
      </c>
      <c r="B9" s="5" t="inlineStr">
        <is>
          <t>Плитка пола</t>
        </is>
      </c>
      <c r="C9" s="15">
        <f>SUMIFS('Обмеры'!$C$2:$C$9,'Обмеры'!$J$2:$J$9,"плитка")</f>
        <v/>
      </c>
      <c r="D9" s="5" t="inlineStr">
        <is>
          <t>м²</t>
        </is>
      </c>
      <c r="E9" s="15">
        <f>ROUND(C9*'Нормы и цены'!$B$12,1)</f>
        <v/>
      </c>
      <c r="F9" s="5" t="inlineStr">
        <is>
          <t>м²</t>
        </is>
      </c>
      <c r="G9" s="6">
        <f>'Нормы и цены'!$B$19</f>
        <v/>
      </c>
      <c r="H9" s="7">
        <f>E9*G9</f>
        <v/>
      </c>
      <c r="I9" s="5" t="inlineStr">
        <is>
          <t>полы с отделкой «плитка» + 10 %</t>
        </is>
      </c>
    </row>
    <row r="10">
      <c r="A10" s="5" t="inlineStr">
        <is>
          <t>Материалы</t>
        </is>
      </c>
      <c r="B10" s="5" t="inlineStr">
        <is>
          <t>Клей плиточный</t>
        </is>
      </c>
      <c r="C10" s="15">
        <f>C7+C8+C9</f>
        <v/>
      </c>
      <c r="D10" s="5" t="inlineStr">
        <is>
          <t>м²</t>
        </is>
      </c>
      <c r="E10" s="15">
        <f>ROUNDUP(C10*'Нормы и цены'!$B$9/25,0)</f>
        <v/>
      </c>
      <c r="F10" s="5" t="inlineStr">
        <is>
          <t>мешок 25 кг</t>
        </is>
      </c>
      <c r="G10" s="6">
        <f>'Нормы и цены'!$B$20</f>
        <v/>
      </c>
      <c r="H10" s="7">
        <f>E10*G10</f>
        <v/>
      </c>
      <c r="I10" s="5" t="inlineStr">
        <is>
          <t>вся плитка</t>
        </is>
      </c>
    </row>
    <row r="11">
      <c r="A11" s="5" t="inlineStr">
        <is>
          <t>Материалы</t>
        </is>
      </c>
      <c r="B11" s="5" t="inlineStr">
        <is>
          <t>Затирка</t>
        </is>
      </c>
      <c r="C11" s="15">
        <f>C7+C8+C9</f>
        <v/>
      </c>
      <c r="D11" s="5" t="inlineStr">
        <is>
          <t>м²</t>
        </is>
      </c>
      <c r="E11" s="15">
        <f>ROUNDUP(C11*'Нормы и цены'!$B$10/2,0)</f>
        <v/>
      </c>
      <c r="F11" s="5" t="inlineStr">
        <is>
          <t>упак. 2 кг</t>
        </is>
      </c>
      <c r="G11" s="6">
        <f>'Нормы и цены'!$B$21</f>
        <v/>
      </c>
      <c r="H11" s="7">
        <f>E11*G11</f>
        <v/>
      </c>
      <c r="I11" s="5" t="inlineStr">
        <is>
          <t>вся плитка</t>
        </is>
      </c>
    </row>
    <row r="12">
      <c r="A12" s="5" t="inlineStr">
        <is>
          <t>Материалы</t>
        </is>
      </c>
      <c r="B12" s="5" t="inlineStr">
        <is>
          <t>Гидроизоляция санузла</t>
        </is>
      </c>
      <c r="C12" s="15">
        <f>'Обмеры'!C9+0.2*'Обмеры'!D9</f>
        <v/>
      </c>
      <c r="D12" s="5" t="inlineStr">
        <is>
          <t>м²</t>
        </is>
      </c>
      <c r="E12" s="15">
        <f>ROUNDUP(C12*'Нормы и цены'!$B$11/15,0)</f>
        <v/>
      </c>
      <c r="F12" s="5" t="inlineStr">
        <is>
          <t>ведро 15 кг</t>
        </is>
      </c>
      <c r="G12" s="6">
        <f>'Нормы и цены'!$B$22</f>
        <v/>
      </c>
      <c r="H12" s="7">
        <f>E12*G12</f>
        <v/>
      </c>
      <c r="I12" s="5" t="inlineStr">
        <is>
          <t>пол санузла + полоса 0,2 м по периметру</t>
        </is>
      </c>
    </row>
    <row r="13">
      <c r="A13" s="5" t="inlineStr">
        <is>
          <t>Материалы</t>
        </is>
      </c>
      <c r="B13" s="5" t="inlineStr">
        <is>
          <t>Ламинат</t>
        </is>
      </c>
      <c r="C13" s="15">
        <f>SUMIFS('Обмеры'!$C$2:$C$9,'Обмеры'!$J$2:$J$9,"ламинат")</f>
        <v/>
      </c>
      <c r="D13" s="5" t="inlineStr">
        <is>
          <t>м²</t>
        </is>
      </c>
      <c r="E13" s="15">
        <f>ROUND(C13*'Нормы и цены'!$B$12,1)</f>
        <v/>
      </c>
      <c r="F13" s="5" t="inlineStr">
        <is>
          <t>м²</t>
        </is>
      </c>
      <c r="G13" s="6">
        <f>'Нормы и цены'!$B$23</f>
        <v/>
      </c>
      <c r="H13" s="7">
        <f>E13*G13</f>
        <v/>
      </c>
      <c r="I13" s="5" t="inlineStr">
        <is>
          <t>полы с отделкой «ламинат» + 10 %</t>
        </is>
      </c>
    </row>
    <row r="14">
      <c r="A14" s="5" t="inlineStr">
        <is>
          <t>Материалы</t>
        </is>
      </c>
      <c r="B14" s="5" t="inlineStr">
        <is>
          <t>Подложка под ламинат</t>
        </is>
      </c>
      <c r="C14" s="15">
        <f>SUMIFS('Обмеры'!$C$2:$C$9,'Обмеры'!$J$2:$J$9,"ламинат")</f>
        <v/>
      </c>
      <c r="D14" s="5" t="inlineStr">
        <is>
          <t>м²</t>
        </is>
      </c>
      <c r="E14" s="15">
        <f>ROUND(C14*'Нормы и цены'!$B$12,1)</f>
        <v/>
      </c>
      <c r="F14" s="5" t="inlineStr">
        <is>
          <t>м²</t>
        </is>
      </c>
      <c r="G14" s="6">
        <f>'Нормы и цены'!$B$24</f>
        <v/>
      </c>
      <c r="H14" s="7">
        <f>E14*G14</f>
        <v/>
      </c>
      <c r="I14" s="5" t="inlineStr"/>
    </row>
    <row r="15">
      <c r="A15" s="5" t="inlineStr">
        <is>
          <t>Материалы</t>
        </is>
      </c>
      <c r="B15" s="5" t="inlineStr">
        <is>
          <t>Плинтус</t>
        </is>
      </c>
      <c r="C15" s="15">
        <f>(SUMIFS('Обмеры'!$D$2:$D$9,'Обмеры'!$J$2:$J$9,"ламинат")-SUMIFS('Обмеры'!$F$2:$F$9,'Обмеры'!$J$2:$J$9,"ламинат"))</f>
        <v/>
      </c>
      <c r="D15" s="5" t="inlineStr">
        <is>
          <t>м</t>
        </is>
      </c>
      <c r="E15" s="15">
        <f>ROUND(C15*'Нормы и цены'!$B$12,1)</f>
        <v/>
      </c>
      <c r="F15" s="5" t="inlineStr">
        <is>
          <t>м</t>
        </is>
      </c>
      <c r="G15" s="6">
        <f>'Нормы и цены'!$B$25</f>
        <v/>
      </c>
      <c r="H15" s="7">
        <f>E15*G15</f>
        <v/>
      </c>
      <c r="I15" s="5" t="inlineStr">
        <is>
          <t>периметр комнат с ламинатом минус двери</t>
        </is>
      </c>
    </row>
    <row r="16">
      <c r="A16" s="5" t="inlineStr">
        <is>
          <t>Работы</t>
        </is>
      </c>
      <c r="B16" s="5" t="inlineStr">
        <is>
          <t>Натяжные потолки (с монтажом)</t>
        </is>
      </c>
      <c r="C16" s="15">
        <f>SUM('Обмеры'!$C$2:$C$9)</f>
        <v/>
      </c>
      <c r="D16" s="5" t="inlineStr">
        <is>
          <t>м²</t>
        </is>
      </c>
      <c r="E16" s="15">
        <f>C16</f>
        <v/>
      </c>
      <c r="F16" s="5" t="inlineStr">
        <is>
          <t>м²</t>
        </is>
      </c>
      <c r="G16" s="6">
        <f>'Нормы и цены'!$B$26</f>
        <v/>
      </c>
      <c r="H16" s="7">
        <f>E16*G16</f>
        <v/>
      </c>
      <c r="I16" s="5" t="inlineStr">
        <is>
          <t>все помещения (проект электрики рассчитан на натяжные потолки)</t>
        </is>
      </c>
    </row>
    <row r="17">
      <c r="A17" s="5" t="inlineStr">
        <is>
          <t>Работы</t>
        </is>
      </c>
      <c r="B17" s="5" t="inlineStr">
        <is>
          <t>Стяжка пола</t>
        </is>
      </c>
      <c r="C17" s="15">
        <f>SUM('Обмеры'!$C$2:$C$9)</f>
        <v/>
      </c>
      <c r="D17" s="5" t="inlineStr">
        <is>
          <t>м²</t>
        </is>
      </c>
      <c r="E17" s="15">
        <f>C17</f>
        <v/>
      </c>
      <c r="F17" s="5" t="inlineStr">
        <is>
          <t>м²</t>
        </is>
      </c>
      <c r="G17" s="6">
        <f>'Нормы и цены'!$B$27</f>
        <v/>
      </c>
      <c r="H17" s="7">
        <f>E17*G17</f>
        <v/>
      </c>
      <c r="I17" s="5" t="inlineStr"/>
    </row>
    <row r="18">
      <c r="A18" s="5" t="inlineStr">
        <is>
          <t>Работы</t>
        </is>
      </c>
      <c r="B18" s="5" t="inlineStr">
        <is>
          <t>Штукатурка стен</t>
        </is>
      </c>
      <c r="C18" s="15">
        <f>C3</f>
        <v/>
      </c>
      <c r="D18" s="5" t="inlineStr">
        <is>
          <t>м²</t>
        </is>
      </c>
      <c r="E18" s="15">
        <f>C18</f>
        <v/>
      </c>
      <c r="F18" s="5" t="inlineStr">
        <is>
          <t>м²</t>
        </is>
      </c>
      <c r="G18" s="6">
        <f>'Нормы и цены'!$B$28</f>
        <v/>
      </c>
      <c r="H18" s="7">
        <f>E18*G18</f>
        <v/>
      </c>
      <c r="I18" s="5" t="inlineStr"/>
    </row>
    <row r="19">
      <c r="A19" s="5" t="inlineStr">
        <is>
          <t>Работы</t>
        </is>
      </c>
      <c r="B19" s="5" t="inlineStr">
        <is>
          <t>Шпаклёвка и покраска стен</t>
        </is>
      </c>
      <c r="C19" s="15">
        <f>C5</f>
        <v/>
      </c>
      <c r="D19" s="5" t="inlineStr">
        <is>
          <t>м²</t>
        </is>
      </c>
      <c r="E19" s="15">
        <f>C19</f>
        <v/>
      </c>
      <c r="F19" s="5" t="inlineStr">
        <is>
          <t>м²</t>
        </is>
      </c>
      <c r="G19" s="6">
        <f>'Нормы и цены'!$B$29</f>
        <v/>
      </c>
      <c r="H19" s="7">
        <f>E19*G19</f>
        <v/>
      </c>
      <c r="I19" s="5" t="inlineStr"/>
    </row>
    <row r="20">
      <c r="A20" s="5" t="inlineStr">
        <is>
          <t>Работы</t>
        </is>
      </c>
      <c r="B20" s="5" t="inlineStr">
        <is>
          <t>Укладка плитки</t>
        </is>
      </c>
      <c r="C20" s="15">
        <f>C10</f>
        <v/>
      </c>
      <c r="D20" s="5" t="inlineStr">
        <is>
          <t>м²</t>
        </is>
      </c>
      <c r="E20" s="15">
        <f>C20</f>
        <v/>
      </c>
      <c r="F20" s="5" t="inlineStr">
        <is>
          <t>м²</t>
        </is>
      </c>
      <c r="G20" s="6">
        <f>'Нормы и цены'!$B$30</f>
        <v/>
      </c>
      <c r="H20" s="7">
        <f>E20*G20</f>
        <v/>
      </c>
      <c r="I20" s="5" t="inlineStr"/>
    </row>
    <row r="21">
      <c r="A21" s="5" t="inlineStr">
        <is>
          <t>Работы</t>
        </is>
      </c>
      <c r="B21" s="5" t="inlineStr">
        <is>
          <t>Гидроизоляция</t>
        </is>
      </c>
      <c r="C21" s="15">
        <f>C12</f>
        <v/>
      </c>
      <c r="D21" s="5" t="inlineStr">
        <is>
          <t>м²</t>
        </is>
      </c>
      <c r="E21" s="15">
        <f>C21</f>
        <v/>
      </c>
      <c r="F21" s="5" t="inlineStr">
        <is>
          <t>м²</t>
        </is>
      </c>
      <c r="G21" s="6">
        <f>'Нормы и цены'!$B$31</f>
        <v/>
      </c>
      <c r="H21" s="7">
        <f>E21*G21</f>
        <v/>
      </c>
      <c r="I21" s="5" t="inlineStr"/>
    </row>
    <row r="22">
      <c r="A22" s="5" t="inlineStr">
        <is>
          <t>Работы</t>
        </is>
      </c>
      <c r="B22" s="5" t="inlineStr">
        <is>
          <t>Ламинат и плинтус</t>
        </is>
      </c>
      <c r="C22" s="15">
        <f>C13</f>
        <v/>
      </c>
      <c r="D22" s="5" t="inlineStr">
        <is>
          <t>м²</t>
        </is>
      </c>
      <c r="E22" s="15">
        <f>C22</f>
        <v/>
      </c>
      <c r="F22" s="5" t="inlineStr">
        <is>
          <t>м²</t>
        </is>
      </c>
      <c r="G22" s="6">
        <f>'Нормы и цены'!$B$32</f>
        <v/>
      </c>
      <c r="H22" s="7">
        <f>E22*G22</f>
        <v/>
      </c>
      <c r="I22" s="5" t="inlineStr"/>
    </row>
    <row r="23">
      <c r="A23" s="2" t="n"/>
      <c r="B23" s="9" t="inlineStr">
        <is>
          <t>Итого материалы</t>
        </is>
      </c>
      <c r="C23" s="2" t="n"/>
      <c r="D23" s="2" t="n"/>
      <c r="E23" s="2" t="n"/>
      <c r="F23" s="2" t="n"/>
      <c r="G23" s="2" t="n"/>
      <c r="H23" s="10">
        <f>SUMIFS(H2:H22,A2:A22,"Материалы")</f>
        <v/>
      </c>
      <c r="I23" s="2" t="n"/>
    </row>
    <row r="24">
      <c r="A24" s="2" t="n"/>
      <c r="B24" s="9" t="inlineStr">
        <is>
          <t>Итого работы</t>
        </is>
      </c>
      <c r="C24" s="2" t="n"/>
      <c r="D24" s="2" t="n"/>
      <c r="E24" s="2" t="n"/>
      <c r="F24" s="2" t="n"/>
      <c r="G24" s="2" t="n"/>
      <c r="H24" s="10">
        <f>SUMIFS(H2:H22,A2:A22,"Работы")</f>
        <v/>
      </c>
      <c r="I24" s="2" t="n"/>
    </row>
    <row r="25">
      <c r="A25" s="2" t="n"/>
      <c r="B25" s="9" t="inlineStr">
        <is>
          <t>Итого отделка</t>
        </is>
      </c>
      <c r="C25" s="2" t="n"/>
      <c r="D25" s="2" t="n"/>
      <c r="E25" s="2" t="n"/>
      <c r="F25" s="2" t="n"/>
      <c r="G25" s="2" t="n"/>
      <c r="H25" s="10">
        <f>H23+H24</f>
        <v/>
      </c>
      <c r="I25" s="2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  <col width="12" customWidth="1" min="3" max="3"/>
    <col width="12" customWidth="1" min="4" max="4"/>
    <col width="14" customWidth="1" min="5" max="5"/>
  </cols>
  <sheetData>
    <row r="1" ht="32" customHeight="1">
      <c r="A1" s="11" t="inlineStr">
        <is>
          <t>Раздел</t>
        </is>
      </c>
      <c r="B1" s="11" t="inlineStr">
        <is>
          <t>Позиция</t>
        </is>
      </c>
      <c r="C1" s="11" t="inlineStr">
        <is>
          <t>Количество</t>
        </is>
      </c>
      <c r="D1" s="11" t="inlineStr">
        <is>
          <t>Цена, сом</t>
        </is>
      </c>
      <c r="E1" s="11" t="inlineStr">
        <is>
          <t>Сумма, сом</t>
        </is>
      </c>
    </row>
    <row r="2">
      <c r="A2" s="5" t="inlineStr">
        <is>
          <t>Материалы</t>
        </is>
      </c>
      <c r="B2" s="5" t="inlineStr">
        <is>
          <t>Кабель ВВГнг(А)-LS 3×1,5, м</t>
        </is>
      </c>
      <c r="C2" s="14" t="n">
        <v>118</v>
      </c>
      <c r="D2" s="18" t="n">
        <v>76</v>
      </c>
      <c r="E2" s="7">
        <f>C2*D2</f>
        <v/>
      </c>
    </row>
    <row r="3">
      <c r="A3" s="5" t="inlineStr">
        <is>
          <t>Материалы</t>
        </is>
      </c>
      <c r="B3" s="5" t="inlineStr">
        <is>
          <t>Кабель ВВГнг(А)-LS 3×2,5, м</t>
        </is>
      </c>
      <c r="C3" s="14" t="n">
        <v>174</v>
      </c>
      <c r="D3" s="18" t="n">
        <v>138</v>
      </c>
      <c r="E3" s="7">
        <f>C3*D3</f>
        <v/>
      </c>
    </row>
    <row r="4">
      <c r="A4" s="5" t="inlineStr">
        <is>
          <t>Материалы</t>
        </is>
      </c>
      <c r="B4" s="5" t="inlineStr">
        <is>
          <t>Кабель ВВГнг(А)-LS 3×6, м</t>
        </is>
      </c>
      <c r="C4" s="14" t="n">
        <v>13</v>
      </c>
      <c r="D4" s="18" t="n">
        <v>310</v>
      </c>
      <c r="E4" s="7">
        <f>C4*D4</f>
        <v/>
      </c>
    </row>
    <row r="5">
      <c r="A5" s="5" t="inlineStr">
        <is>
          <t>Материалы</t>
        </is>
      </c>
      <c r="B5" s="5" t="inlineStr">
        <is>
          <t>Гофра ПВХ/ПНД 20 мм, м</t>
        </is>
      </c>
      <c r="C5" s="14" t="n">
        <v>219</v>
      </c>
      <c r="D5" s="18" t="n">
        <v>15</v>
      </c>
      <c r="E5" s="7">
        <f>C5*D5</f>
        <v/>
      </c>
    </row>
    <row r="6">
      <c r="A6" s="5" t="inlineStr">
        <is>
          <t>Материалы</t>
        </is>
      </c>
      <c r="B6" s="5" t="inlineStr">
        <is>
          <t>Подрозетники, шт</t>
        </is>
      </c>
      <c r="C6" s="14" t="n">
        <v>31</v>
      </c>
      <c r="D6" s="18" t="n">
        <v>20</v>
      </c>
      <c r="E6" s="7">
        <f>C6*D6</f>
        <v/>
      </c>
    </row>
    <row r="7">
      <c r="A7" s="5" t="inlineStr">
        <is>
          <t>Материалы</t>
        </is>
      </c>
      <c r="B7" s="5" t="inlineStr">
        <is>
          <t>Розетки с заземлением и шторками (ПУЭ 7.1.49), шт</t>
        </is>
      </c>
      <c r="C7" s="14" t="n">
        <v>36</v>
      </c>
      <c r="D7" s="18" t="n">
        <v>250</v>
      </c>
      <c r="E7" s="7">
        <f>C7*D7</f>
        <v/>
      </c>
    </row>
    <row r="8">
      <c r="A8" s="5" t="inlineStr">
        <is>
          <t>Материалы</t>
        </is>
      </c>
      <c r="B8" s="5" t="inlineStr">
        <is>
          <t>Выключатели, шт</t>
        </is>
      </c>
      <c r="C8" s="14" t="n">
        <v>7</v>
      </c>
      <c r="D8" s="18" t="n">
        <v>220</v>
      </c>
      <c r="E8" s="7">
        <f>C8*D8</f>
        <v/>
      </c>
    </row>
    <row r="9">
      <c r="A9" s="5" t="inlineStr">
        <is>
          <t>Материалы</t>
        </is>
      </c>
      <c r="B9" s="5" t="inlineStr">
        <is>
          <t>Дифавтоматы 30 мА до 16 А, шт</t>
        </is>
      </c>
      <c r="C9" s="14" t="n">
        <v>6</v>
      </c>
      <c r="D9" s="18" t="n">
        <v>998</v>
      </c>
      <c r="E9" s="7">
        <f>C9*D9</f>
        <v/>
      </c>
    </row>
    <row r="10">
      <c r="A10" s="5" t="inlineStr">
        <is>
          <t>Материалы</t>
        </is>
      </c>
      <c r="B10" s="5" t="inlineStr">
        <is>
          <t>Дифавтомат 32 А 100 мА, тип A (плита), шт</t>
        </is>
      </c>
      <c r="C10" s="14" t="n">
        <v>1</v>
      </c>
      <c r="D10" s="18" t="n">
        <v>1800</v>
      </c>
      <c r="E10" s="7">
        <f>C10*D10</f>
        <v/>
      </c>
    </row>
    <row r="11">
      <c r="A11" s="5" t="inlineStr">
        <is>
          <t>Материалы</t>
        </is>
      </c>
      <c r="B11" s="5" t="inlineStr">
        <is>
          <t>Вводной выключатель нагрузки 2P 63 А, шт</t>
        </is>
      </c>
      <c r="C11" s="14" t="n">
        <v>1</v>
      </c>
      <c r="D11" s="18" t="n">
        <v>1500</v>
      </c>
      <c r="E11" s="7">
        <f>C11*D11</f>
        <v/>
      </c>
    </row>
    <row r="12">
      <c r="A12" s="5" t="inlineStr">
        <is>
          <t>Материалы</t>
        </is>
      </c>
      <c r="B12" s="5" t="inlineStr">
        <is>
          <t>Щит квартирный встраиваемый 24 мод. (корпус + шины), шт</t>
        </is>
      </c>
      <c r="C12" s="14" t="n">
        <v>1</v>
      </c>
      <c r="D12" s="18" t="n">
        <v>2880</v>
      </c>
      <c r="E12" s="7">
        <f>C12*D12</f>
        <v/>
      </c>
    </row>
    <row r="13">
      <c r="A13" s="5" t="inlineStr">
        <is>
          <t>Работы</t>
        </is>
      </c>
      <c r="B13" s="5" t="inlineStr">
        <is>
          <t>Штробление: штроба горизонтальная, перегородки, м</t>
        </is>
      </c>
      <c r="C13" s="14" t="n">
        <v>0.1</v>
      </c>
      <c r="D13" s="18" t="n">
        <v>350</v>
      </c>
      <c r="E13" s="7">
        <f>C13*D13</f>
        <v/>
      </c>
    </row>
    <row r="14">
      <c r="A14" s="5" t="inlineStr">
        <is>
          <t>Работы</t>
        </is>
      </c>
      <c r="B14" s="5" t="inlineStr">
        <is>
          <t>Штробление: штроба вертикальная, несущие/наружные, м</t>
        </is>
      </c>
      <c r="C14" s="14" t="n">
        <v>27.1</v>
      </c>
      <c r="D14" s="18" t="n">
        <v>490</v>
      </c>
      <c r="E14" s="7">
        <f>C14*D14</f>
        <v/>
      </c>
    </row>
    <row r="15">
      <c r="A15" s="5" t="inlineStr">
        <is>
          <t>Работы</t>
        </is>
      </c>
      <c r="B15" s="5" t="inlineStr">
        <is>
          <t>Штробление: штроба вертикальная, перегородки, м</t>
        </is>
      </c>
      <c r="C15" s="14" t="n">
        <v>5.5</v>
      </c>
      <c r="D15" s="18" t="n">
        <v>350</v>
      </c>
      <c r="E15" s="7">
        <f>C15*D15</f>
        <v/>
      </c>
    </row>
    <row r="16">
      <c r="A16" s="5" t="inlineStr">
        <is>
          <t>Работы</t>
        </is>
      </c>
      <c r="B16" s="5" t="inlineStr">
        <is>
          <t>Прокладка гофры с креплением, м</t>
        </is>
      </c>
      <c r="C16" s="14" t="n">
        <v>199.1</v>
      </c>
      <c r="D16" s="18" t="n">
        <v>30</v>
      </c>
      <c r="E16" s="7">
        <f>C16*D16</f>
        <v/>
      </c>
    </row>
    <row r="17">
      <c r="A17" s="5" t="inlineStr">
        <is>
          <t>Работы</t>
        </is>
      </c>
      <c r="B17" s="5" t="inlineStr">
        <is>
          <t>Прокладка кабеля, м</t>
        </is>
      </c>
      <c r="C17" s="14" t="n">
        <v>305</v>
      </c>
      <c r="D17" s="18" t="n">
        <v>30</v>
      </c>
      <c r="E17" s="7">
        <f>C17*D17</f>
        <v/>
      </c>
    </row>
    <row r="18">
      <c r="A18" s="5" t="inlineStr">
        <is>
          <t>Работы</t>
        </is>
      </c>
      <c r="B18" s="5" t="inlineStr">
        <is>
          <t>Лунки под подрозетники в бетоне, шт</t>
        </is>
      </c>
      <c r="C18" s="14" t="n">
        <v>28</v>
      </c>
      <c r="D18" s="18" t="n">
        <v>180</v>
      </c>
      <c r="E18" s="7">
        <f>C18*D18</f>
        <v/>
      </c>
    </row>
    <row r="19">
      <c r="A19" s="5" t="inlineStr">
        <is>
          <t>Работы</t>
        </is>
      </c>
      <c r="B19" s="5" t="inlineStr">
        <is>
          <t>Лунки под подрозетники в кладке, шт</t>
        </is>
      </c>
      <c r="C19" s="14" t="n">
        <v>3</v>
      </c>
      <c r="D19" s="18" t="n">
        <v>120</v>
      </c>
      <c r="E19" s="7">
        <f>C19*D19</f>
        <v/>
      </c>
    </row>
    <row r="20">
      <c r="A20" s="5" t="inlineStr">
        <is>
          <t>Работы</t>
        </is>
      </c>
      <c r="B20" s="5" t="inlineStr">
        <is>
          <t>Монтаж подрозетников, шт</t>
        </is>
      </c>
      <c r="C20" s="14" t="n">
        <v>31</v>
      </c>
      <c r="D20" s="18" t="n">
        <v>150</v>
      </c>
      <c r="E20" s="7">
        <f>C20*D20</f>
        <v/>
      </c>
    </row>
    <row r="21">
      <c r="A21" s="5" t="inlineStr">
        <is>
          <t>Работы</t>
        </is>
      </c>
      <c r="B21" s="5" t="inlineStr">
        <is>
          <t>Установка розеток и выключателей, шт</t>
        </is>
      </c>
      <c r="C21" s="14" t="n">
        <v>31</v>
      </c>
      <c r="D21" s="18" t="n">
        <v>200</v>
      </c>
      <c r="E21" s="7">
        <f>C21*D21</f>
        <v/>
      </c>
    </row>
    <row r="22">
      <c r="A22" s="5" t="inlineStr">
        <is>
          <t>Работы</t>
        </is>
      </c>
      <c r="B22" s="5" t="inlineStr">
        <is>
          <t>Выводы под светильники, шт</t>
        </is>
      </c>
      <c r="C22" s="14" t="n">
        <v>14</v>
      </c>
      <c r="D22" s="18" t="n">
        <v>200</v>
      </c>
      <c r="E22" s="7">
        <f>C22*D22</f>
        <v/>
      </c>
    </row>
    <row r="23">
      <c r="A23" s="5" t="inlineStr">
        <is>
          <t>Работы</t>
        </is>
      </c>
      <c r="B23" s="5" t="inlineStr">
        <is>
          <t>Сквозные отверстия, шт</t>
        </is>
      </c>
      <c r="C23" s="14" t="n">
        <v>9</v>
      </c>
      <c r="D23" s="18" t="n">
        <v>200</v>
      </c>
      <c r="E23" s="7">
        <f>C23*D23</f>
        <v/>
      </c>
    </row>
    <row r="24">
      <c r="A24" s="5" t="inlineStr">
        <is>
          <t>Работы</t>
        </is>
      </c>
      <c r="B24" s="5" t="inlineStr">
        <is>
          <t>Сборка щита, модулей</t>
        </is>
      </c>
      <c r="C24" s="14" t="n">
        <v>16</v>
      </c>
      <c r="D24" s="18" t="n">
        <v>120</v>
      </c>
      <c r="E24" s="7">
        <f>C24*D24</f>
        <v/>
      </c>
    </row>
    <row r="25">
      <c r="A25" s="2" t="n"/>
      <c r="B25" s="9" t="inlineStr">
        <is>
          <t>Итого материалы</t>
        </is>
      </c>
      <c r="C25" s="2" t="n"/>
      <c r="D25" s="2" t="n"/>
      <c r="E25" s="10">
        <f>SUMIFS(E2:E24,A2:A24,"Материалы")</f>
        <v/>
      </c>
    </row>
    <row r="26">
      <c r="A26" s="2" t="n"/>
      <c r="B26" s="9" t="inlineStr">
        <is>
          <t>Итого работы</t>
        </is>
      </c>
      <c r="C26" s="2" t="n"/>
      <c r="D26" s="2" t="n"/>
      <c r="E26" s="10">
        <f>SUMIFS(E2:E24,A2:A24,"Работы")</f>
        <v/>
      </c>
    </row>
    <row r="27">
      <c r="A27" s="2" t="n"/>
      <c r="B27" s="9" t="inlineStr">
        <is>
          <t>Итого</t>
        </is>
      </c>
      <c r="C27" s="2" t="n"/>
      <c r="D27" s="2" t="n"/>
      <c r="E27" s="10">
        <f>E25+E26</f>
        <v/>
      </c>
    </row>
    <row r="28">
      <c r="A28" s="2" t="n"/>
      <c r="B28" s="2" t="n"/>
      <c r="C28" s="2" t="n"/>
      <c r="D28" s="2" t="n"/>
      <c r="E28" s="2" t="n"/>
    </row>
    <row r="29">
      <c r="A29" s="3" t="inlineStr">
        <is>
          <t>Проект электрики с нуля, вариант C: Оптимальный: штробы в перегородках, потолок и пол — где дешевле. Количества — из расчёта трасс (elec/design/design.json); цены — бишкекские прайсы «от» и оценки (tools/design_rules.json).</t>
        </is>
      </c>
      <c r="B29" s="2" t="n"/>
      <c r="C29" s="2" t="n"/>
      <c r="D29" s="2" t="n"/>
      <c r="E29" s="2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  <col width="12" customWidth="1" min="3" max="3"/>
    <col width="12" customWidth="1" min="4" max="4"/>
    <col width="14" customWidth="1" min="5" max="5"/>
  </cols>
  <sheetData>
    <row r="1" ht="32" customHeight="1">
      <c r="A1" s="11" t="inlineStr">
        <is>
          <t>Раздел</t>
        </is>
      </c>
      <c r="B1" s="11" t="inlineStr">
        <is>
          <t>Позиция</t>
        </is>
      </c>
      <c r="C1" s="11" t="inlineStr">
        <is>
          <t>Количество</t>
        </is>
      </c>
      <c r="D1" s="11" t="inlineStr">
        <is>
          <t>Цена, сом</t>
        </is>
      </c>
      <c r="E1" s="11" t="inlineStr">
        <is>
          <t>Сумма, сом</t>
        </is>
      </c>
    </row>
    <row r="2">
      <c r="A2" s="5" t="inlineStr">
        <is>
          <t>Материалы</t>
        </is>
      </c>
      <c r="B2" s="5" t="inlineStr">
        <is>
          <t>Труба PP-R PN20 Ø20 (ХВС/ГВС), м</t>
        </is>
      </c>
      <c r="C2" s="14" t="n">
        <v>38</v>
      </c>
      <c r="D2" s="18" t="n">
        <v>65</v>
      </c>
      <c r="E2" s="7">
        <f>C2*D2</f>
        <v/>
      </c>
    </row>
    <row r="3">
      <c r="A3" s="5" t="inlineStr">
        <is>
          <t>Материалы</t>
        </is>
      </c>
      <c r="B3" s="5" t="inlineStr">
        <is>
          <t>Гофра/гильза для труб в стяжке, м</t>
        </is>
      </c>
      <c r="C3" s="14" t="n">
        <v>38</v>
      </c>
      <c r="D3" s="18" t="n">
        <v>20</v>
      </c>
      <c r="E3" s="7">
        <f>C3*D3</f>
        <v/>
      </c>
    </row>
    <row r="4">
      <c r="A4" s="5" t="inlineStr">
        <is>
          <t>Материалы</t>
        </is>
      </c>
      <c r="B4" s="5" t="inlineStr">
        <is>
          <t>Фитинги PP-R (углы, переходы), шт</t>
        </is>
      </c>
      <c r="C4" s="14" t="n">
        <v>30</v>
      </c>
      <c r="D4" s="18" t="n">
        <v>40</v>
      </c>
      <c r="E4" s="7">
        <f>C4*D4</f>
        <v/>
      </c>
    </row>
    <row r="5">
      <c r="A5" s="5" t="inlineStr">
        <is>
          <t>Материалы</t>
        </is>
      </c>
      <c r="B5" s="5" t="inlineStr">
        <is>
          <t>Водорозетки (выводы под приборы), шт</t>
        </is>
      </c>
      <c r="C5" s="14" t="n">
        <v>10</v>
      </c>
      <c r="D5" s="18" t="n">
        <v>180</v>
      </c>
      <c r="E5" s="7">
        <f>C5*D5</f>
        <v/>
      </c>
    </row>
    <row r="6">
      <c r="A6" s="5" t="inlineStr">
        <is>
          <t>Материалы</t>
        </is>
      </c>
      <c r="B6" s="5" t="inlineStr">
        <is>
          <t>Коллекторы ХВС и ГВС с кранами, шт</t>
        </is>
      </c>
      <c r="C6" s="14" t="n">
        <v>4</v>
      </c>
      <c r="D6" s="18" t="n">
        <v>2500</v>
      </c>
      <c r="E6" s="7">
        <f>C6*D6</f>
        <v/>
      </c>
    </row>
    <row r="7">
      <c r="A7" s="5" t="inlineStr">
        <is>
          <t>Материалы</t>
        </is>
      </c>
      <c r="B7" s="5" t="inlineStr">
        <is>
          <t>Узлы ввода ХВС и ГВС (кран, фильтр, счётчик, обратный клапан), шт</t>
        </is>
      </c>
      <c r="C7" s="14" t="n">
        <v>4</v>
      </c>
      <c r="D7" s="18" t="n">
        <v>4500</v>
      </c>
      <c r="E7" s="7">
        <f>C7*D7</f>
        <v/>
      </c>
    </row>
    <row r="8">
      <c r="A8" s="5" t="inlineStr">
        <is>
          <t>Материалы</t>
        </is>
      </c>
      <c r="B8" s="5" t="inlineStr">
        <is>
          <t>Регулятор давления (если давление &gt; 0,45 МПа), шт</t>
        </is>
      </c>
      <c r="C8" s="14" t="n">
        <v>4</v>
      </c>
      <c r="D8" s="18" t="n">
        <v>2500</v>
      </c>
      <c r="E8" s="7">
        <f>C8*D8</f>
        <v/>
      </c>
    </row>
    <row r="9">
      <c r="A9" s="5" t="inlineStr">
        <is>
          <t>Материалы</t>
        </is>
      </c>
      <c r="B9" s="5" t="inlineStr">
        <is>
          <t>Труба канализационная PP Ø50, м</t>
        </is>
      </c>
      <c r="C9" s="14" t="n">
        <v>14.9</v>
      </c>
      <c r="D9" s="18" t="n">
        <v>120</v>
      </c>
      <c r="E9" s="7">
        <f>C9*D9</f>
        <v/>
      </c>
    </row>
    <row r="10">
      <c r="A10" s="5" t="inlineStr">
        <is>
          <t>Материалы</t>
        </is>
      </c>
      <c r="B10" s="5" t="inlineStr">
        <is>
          <t>Труба канализационная PP Ø110, м</t>
        </is>
      </c>
      <c r="C10" s="14" t="n">
        <v>2.6</v>
      </c>
      <c r="D10" s="18" t="n">
        <v>300</v>
      </c>
      <c r="E10" s="7">
        <f>C10*D10</f>
        <v/>
      </c>
    </row>
    <row r="11">
      <c r="A11" s="5" t="inlineStr">
        <is>
          <t>Материалы</t>
        </is>
      </c>
      <c r="B11" s="5" t="inlineStr">
        <is>
          <t>Фитинги Ø50 (отводы, тройники), шт</t>
        </is>
      </c>
      <c r="C11" s="14" t="n">
        <v>18</v>
      </c>
      <c r="D11" s="18" t="n">
        <v>90</v>
      </c>
      <c r="E11" s="7">
        <f>C11*D11</f>
        <v/>
      </c>
    </row>
    <row r="12">
      <c r="A12" s="5" t="inlineStr">
        <is>
          <t>Материалы</t>
        </is>
      </c>
      <c r="B12" s="5" t="inlineStr">
        <is>
          <t>Фитинги Ø110, шт</t>
        </is>
      </c>
      <c r="C12" s="14" t="n">
        <v>6</v>
      </c>
      <c r="D12" s="18" t="n">
        <v>250</v>
      </c>
      <c r="E12" s="7">
        <f>C12*D12</f>
        <v/>
      </c>
    </row>
    <row r="13">
      <c r="A13" s="5" t="inlineStr">
        <is>
          <t>Работы</t>
        </is>
      </c>
      <c r="B13" s="5" t="inlineStr">
        <is>
          <t>Выводы воды под приборы, шт</t>
        </is>
      </c>
      <c r="C13" s="14" t="n">
        <v>10</v>
      </c>
      <c r="D13" s="18" t="n">
        <v>1200</v>
      </c>
      <c r="E13" s="7">
        <f>C13*D13</f>
        <v/>
      </c>
    </row>
    <row r="14">
      <c r="A14" s="5" t="inlineStr">
        <is>
          <t>Работы</t>
        </is>
      </c>
      <c r="B14" s="5" t="inlineStr">
        <is>
          <t>Выводы канализации под приборы, шт</t>
        </is>
      </c>
      <c r="C14" s="14" t="n">
        <v>6</v>
      </c>
      <c r="D14" s="18" t="n">
        <v>1000</v>
      </c>
      <c r="E14" s="7">
        <f>C14*D14</f>
        <v/>
      </c>
    </row>
    <row r="15">
      <c r="A15" s="5" t="inlineStr">
        <is>
          <t>Работы</t>
        </is>
      </c>
      <c r="B15" s="5" t="inlineStr">
        <is>
          <t>Прокладка труб, м</t>
        </is>
      </c>
      <c r="C15" s="14" t="n">
        <v>54</v>
      </c>
      <c r="D15" s="18" t="n">
        <v>100</v>
      </c>
      <c r="E15" s="7">
        <f>C15*D15</f>
        <v/>
      </c>
    </row>
    <row r="16">
      <c r="A16" s="5" t="inlineStr">
        <is>
          <t>Работы</t>
        </is>
      </c>
      <c r="B16" s="5" t="inlineStr">
        <is>
          <t>Проходы через стены в гильзах, шт</t>
        </is>
      </c>
      <c r="C16" s="14" t="n">
        <v>6</v>
      </c>
      <c r="D16" s="18" t="n">
        <v>300</v>
      </c>
      <c r="E16" s="7">
        <f>C16*D16</f>
        <v/>
      </c>
    </row>
    <row r="17">
      <c r="A17" s="5" t="inlineStr">
        <is>
          <t>Работы</t>
        </is>
      </c>
      <c r="B17" s="5" t="inlineStr">
        <is>
          <t>Монтаж узла ввода и коллекторов, компл.</t>
        </is>
      </c>
      <c r="C17" s="14" t="n">
        <v>2</v>
      </c>
      <c r="D17" s="18" t="n">
        <v>3000</v>
      </c>
      <c r="E17" s="7">
        <f>C17*D17</f>
        <v/>
      </c>
    </row>
    <row r="18">
      <c r="A18" s="2" t="n"/>
      <c r="B18" s="9" t="inlineStr">
        <is>
          <t>Итого материалы</t>
        </is>
      </c>
      <c r="C18" s="2" t="n"/>
      <c r="D18" s="2" t="n"/>
      <c r="E18" s="10">
        <f>SUMIFS(E2:E17,A2:A17,"Материалы")</f>
        <v/>
      </c>
    </row>
    <row r="19">
      <c r="A19" s="2" t="n"/>
      <c r="B19" s="9" t="inlineStr">
        <is>
          <t>Итого работы</t>
        </is>
      </c>
      <c r="C19" s="2" t="n"/>
      <c r="D19" s="2" t="n"/>
      <c r="E19" s="10">
        <f>SUMIFS(E2:E17,A2:A17,"Работы")</f>
        <v/>
      </c>
    </row>
    <row r="20">
      <c r="A20" s="2" t="n"/>
      <c r="B20" s="9" t="inlineStr">
        <is>
          <t>Итого</t>
        </is>
      </c>
      <c r="C20" s="2" t="n"/>
      <c r="D20" s="2" t="n"/>
      <c r="E20" s="10">
        <f>E18+E19</f>
        <v/>
      </c>
    </row>
    <row r="21">
      <c r="A21" s="2" t="n"/>
      <c r="B21" s="2" t="n"/>
      <c r="C21" s="2" t="n"/>
      <c r="D21" s="2" t="n"/>
      <c r="E21" s="2" t="n"/>
    </row>
    <row r="22">
      <c r="A22" s="3" t="inlineStr">
        <is>
          <t>Проект водопровода и канализации (plumb/plumb.json). Цены — оценка: бишкекские прайсы на сантехнику не публикуются (tools/plumb_rules.json).</t>
        </is>
      </c>
      <c r="B22" s="2" t="n"/>
      <c r="C22" s="2" t="n"/>
      <c r="D22" s="2" t="n"/>
      <c r="E22" s="2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  <col width="12" customWidth="1" min="3" max="3"/>
    <col width="12" customWidth="1" min="4" max="4"/>
    <col width="14" customWidth="1" min="5" max="5"/>
  </cols>
  <sheetData>
    <row r="1" ht="32" customHeight="1">
      <c r="A1" s="11" t="inlineStr">
        <is>
          <t>Раздел</t>
        </is>
      </c>
      <c r="B1" s="11" t="inlineStr">
        <is>
          <t>Позиция</t>
        </is>
      </c>
      <c r="C1" s="11" t="inlineStr">
        <is>
          <t>Количество</t>
        </is>
      </c>
      <c r="D1" s="11" t="inlineStr">
        <is>
          <t>Цена, сом</t>
        </is>
      </c>
      <c r="E1" s="11" t="inlineStr">
        <is>
          <t>Сумма, сом</t>
        </is>
      </c>
    </row>
    <row r="2">
      <c r="A2" s="5" t="inlineStr">
        <is>
          <t>Материалы</t>
        </is>
      </c>
      <c r="B2" s="5" t="inlineStr">
        <is>
          <t>Полотенцесушитель водяной, шт — Ванная</t>
        </is>
      </c>
      <c r="C2" s="14" t="n">
        <v>1</v>
      </c>
      <c r="D2" s="18" t="n">
        <v>6000</v>
      </c>
      <c r="E2" s="7">
        <f>C2*D2</f>
        <v/>
      </c>
    </row>
    <row r="3">
      <c r="A3" s="5" t="inlineStr">
        <is>
          <t>Материалы</t>
        </is>
      </c>
      <c r="B3" s="5" t="inlineStr">
        <is>
          <t>Секции радиатора 500 мм, шт — Кухня</t>
        </is>
      </c>
      <c r="C3" s="14" t="n">
        <v>5</v>
      </c>
      <c r="D3" s="18" t="n">
        <v>900</v>
      </c>
      <c r="E3" s="7">
        <f>C3*D3</f>
        <v/>
      </c>
    </row>
    <row r="4">
      <c r="A4" s="5" t="inlineStr">
        <is>
          <t>Материалы</t>
        </is>
      </c>
      <c r="B4" s="5" t="inlineStr">
        <is>
          <t>Секции радиатора 500 мм, шт — Комната</t>
        </is>
      </c>
      <c r="C4" s="14" t="n">
        <v>13</v>
      </c>
      <c r="D4" s="18" t="n">
        <v>900</v>
      </c>
      <c r="E4" s="7">
        <f>C4*D4</f>
        <v/>
      </c>
    </row>
    <row r="5">
      <c r="A5" s="5" t="inlineStr">
        <is>
          <t>Материалы</t>
        </is>
      </c>
      <c r="B5" s="5" t="inlineStr">
        <is>
          <t>Комплект ТРВ (термоголовка + клапан + запорный), шт — все радиаторы</t>
        </is>
      </c>
      <c r="C5" s="14" t="n">
        <v>3</v>
      </c>
      <c r="D5" s="18" t="n">
        <v>2500</v>
      </c>
      <c r="E5" s="7">
        <f>C5*D5</f>
        <v/>
      </c>
    </row>
    <row r="6">
      <c r="A6" s="5" t="inlineStr">
        <is>
          <t>Работы</t>
        </is>
      </c>
      <c r="B6" s="5" t="inlineStr">
        <is>
          <t>Работа: монтаж — Ванная</t>
        </is>
      </c>
      <c r="C6" s="14" t="n">
        <v>1</v>
      </c>
      <c r="D6" s="18" t="n">
        <v>2500</v>
      </c>
      <c r="E6" s="7">
        <f>C6*D6</f>
        <v/>
      </c>
    </row>
    <row r="7">
      <c r="A7" s="5" t="inlineStr">
        <is>
          <t>Работы</t>
        </is>
      </c>
      <c r="B7" s="5" t="inlineStr">
        <is>
          <t>Работа: монтаж радиатора с обвязкой — Кухня</t>
        </is>
      </c>
      <c r="C7" s="14" t="n">
        <v>1</v>
      </c>
      <c r="D7" s="18" t="n">
        <v>2500</v>
      </c>
      <c r="E7" s="7">
        <f>C7*D7</f>
        <v/>
      </c>
    </row>
    <row r="8">
      <c r="A8" s="5" t="inlineStr">
        <is>
          <t>Работы</t>
        </is>
      </c>
      <c r="B8" s="5" t="inlineStr">
        <is>
          <t>Работа: монтаж радиатора с обвязкой — Комната</t>
        </is>
      </c>
      <c r="C8" s="14" t="n">
        <v>2</v>
      </c>
      <c r="D8" s="18" t="n">
        <v>2500</v>
      </c>
      <c r="E8" s="7">
        <f>C8*D8</f>
        <v/>
      </c>
    </row>
    <row r="9">
      <c r="A9" s="2" t="n"/>
      <c r="B9" s="9" t="inlineStr">
        <is>
          <t>Итого материалы</t>
        </is>
      </c>
      <c r="C9" s="2" t="n"/>
      <c r="D9" s="2" t="n"/>
      <c r="E9" s="10">
        <f>SUMIFS(E2:E8,A2:A8,"Материалы")</f>
        <v/>
      </c>
    </row>
    <row r="10">
      <c r="A10" s="2" t="n"/>
      <c r="B10" s="9" t="inlineStr">
        <is>
          <t>Итого работы</t>
        </is>
      </c>
      <c r="C10" s="2" t="n"/>
      <c r="D10" s="2" t="n"/>
      <c r="E10" s="10">
        <f>SUMIFS(E2:E8,A2:A8,"Работы")</f>
        <v/>
      </c>
    </row>
    <row r="11">
      <c r="A11" s="2" t="n"/>
      <c r="B11" s="9" t="inlineStr">
        <is>
          <t>Итого</t>
        </is>
      </c>
      <c r="C11" s="2" t="n"/>
      <c r="D11" s="2" t="n"/>
      <c r="E11" s="10">
        <f>E9+E10</f>
        <v/>
      </c>
    </row>
    <row r="12">
      <c r="A12" s="2" t="n"/>
      <c r="B12" s="2" t="n"/>
      <c r="C12" s="2" t="n"/>
      <c r="D12" s="2" t="n"/>
      <c r="E12" s="2" t="n"/>
    </row>
    <row r="13">
      <c r="A13" s="3" t="inlineStr">
        <is>
          <t>Мероприятия по отоплению (heat/heat.json): добор секций, полотенцесушитель, терморегуляторы. Цены — оценка (tools/heat_rules.json).</t>
        </is>
      </c>
      <c r="B13" s="2" t="n"/>
      <c r="C13" s="2" t="n"/>
      <c r="D13" s="2" t="n"/>
      <c r="E13" s="2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0" customWidth="1" min="2" max="2"/>
  </cols>
  <sheetData>
    <row r="1" ht="32" customHeight="1">
      <c r="A1" s="11" t="inlineStr">
        <is>
          <t>Что</t>
        </is>
      </c>
      <c r="B1" s="11" t="inlineStr">
        <is>
          <t>Откуда</t>
        </is>
      </c>
    </row>
    <row r="2">
      <c r="A2" s="5" t="inlineStr">
        <is>
          <t>Обмеры</t>
        </is>
      </c>
      <c r="B2" s="5" t="inlineStr">
        <is>
          <t>Автоматический обмер по плану квартиры (tools/plan2model.py → plan.py → rooms.json)</t>
        </is>
      </c>
    </row>
    <row r="3">
      <c r="A3" s="5" t="inlineStr">
        <is>
          <t>Электрика</t>
        </is>
      </c>
      <c r="B3" s="5" t="inlineStr">
        <is>
          <t>tools/design_rules.json: ПУЭ-7 гл. 7.1, СП 31-110-2003; цены — mtt.kg, 220city.kg, elmaster.kg</t>
        </is>
      </c>
    </row>
    <row r="4">
      <c r="A4" s="5" t="inlineStr">
        <is>
          <t>Сантехника</t>
        </is>
      </c>
      <c r="B4" s="5" t="inlineStr">
        <is>
          <t>tools/plumb_rules.json: СНиП 2.04.01-85*, СП 30.13330.2020, ПУЭ 2.1.56–57; цены — оценка</t>
        </is>
      </c>
    </row>
    <row r="5">
      <c r="A5" s="5" t="inlineStr">
        <is>
          <t>Отопление</t>
        </is>
      </c>
      <c r="B5" s="5" t="inlineStr">
        <is>
          <t>tools/heat_rules.json: СНиП 23-01-99 (Бишкек −23 °C), СНиП 23-02/СП 50, ГОСТ 30494, СП 54; тариф 1560 сом/Гкал</t>
        </is>
      </c>
    </row>
    <row r="6">
      <c r="A6" s="5" t="inlineStr">
        <is>
          <t>Отделка</t>
        </is>
      </c>
      <c r="B6" s="5" t="inlineStr">
        <is>
          <t>Расходы — типовые (практика); цены — оценка, сверить с поставщиками Бишкека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2026-10-15T21:53:26Z</dcterms:created>
  <dcterms:modified xsi:type="dcterms:W3CDTF">2026-10-15T21:53:26Z</dcterms:modified>
</cp:coreProperties>
</file>